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3"/>
  </bookViews>
  <sheets>
    <sheet name="Up and Down" sheetId="1" r:id="rId1"/>
    <sheet name="Dreieck" sheetId="2" r:id="rId2"/>
    <sheet name="Trapec" sheetId="3" r:id="rId3"/>
    <sheet name="Kurslaenge" sheetId="4" r:id="rId4"/>
  </sheets>
  <definedNames>
    <definedName name="KL">'Up and Down'!$B$12</definedName>
    <definedName name="KL1">'Trapec'!$B$8</definedName>
    <definedName name="LL">'Up and Down'!$B$18</definedName>
    <definedName name="LL1">'Trapec'!$B$20</definedName>
    <definedName name="MG">'Up and Down'!$B$20</definedName>
    <definedName name="NB">'Up and Down'!$B$7</definedName>
    <definedName name="NB1">'Trapec'!$E$6</definedName>
    <definedName name="NB2">'Kurslaenge'!$B$6</definedName>
    <definedName name="NM">'Up and Down'!$C$7</definedName>
    <definedName name="NM1">'Trapec'!$F$6</definedName>
    <definedName name="OB">'Trapec'!$H$6</definedName>
    <definedName name="OB1">'Trapec'!$H$6</definedName>
    <definedName name="OL">'Up and Down'!$B$8</definedName>
    <definedName name="OL1">'Trapec'!$G$6</definedName>
    <definedName name="OM">'Up and Down'!$C$8</definedName>
    <definedName name="RL">'Trapec'!$B$10</definedName>
    <definedName name="RL1">'Trapec'!$B$10</definedName>
    <definedName name="RW">'Trapec'!$B$12</definedName>
    <definedName name="RW1">'Trapec'!$B$12</definedName>
    <definedName name="SL">'Up and Down'!$B$14</definedName>
    <definedName name="TL">'Trapec'!$B$16</definedName>
    <definedName name="TL1">'Trapec'!$B$16</definedName>
    <definedName name="VL">'Up and Down'!$B$16</definedName>
    <definedName name="VL1">'Trapec'!$B$14</definedName>
    <definedName name="WR">'Up and Down'!$B$10</definedName>
    <definedName name="WR1">'Trapec'!$B$6</definedName>
    <definedName name="ZL">'Trapec'!$B$18</definedName>
    <definedName name="ZL1">'Trapec'!$B$18</definedName>
  </definedNames>
  <calcPr fullCalcOnLoad="1"/>
</workbook>
</file>

<file path=xl/sharedStrings.xml><?xml version="1.0" encoding="utf-8"?>
<sst xmlns="http://schemas.openxmlformats.org/spreadsheetml/2006/main" count="180" uniqueCount="98">
  <si>
    <t>Startschiffposition</t>
  </si>
  <si>
    <t>Mindestgeschw. (in kn)</t>
  </si>
  <si>
    <t>Nordrichtung (Breite)</t>
  </si>
  <si>
    <t>Ostrichtung (Länge)</t>
  </si>
  <si>
    <t>Windricht.(in Grad)</t>
  </si>
  <si>
    <t>Startlinie (in sm)</t>
  </si>
  <si>
    <t>Verholerlänge (in sm)</t>
  </si>
  <si>
    <t>Kreuzlänge S-1 (in sm)</t>
  </si>
  <si>
    <t>Leetor-Startlinie 3-S (in sm)</t>
  </si>
  <si>
    <t>Grad</t>
  </si>
  <si>
    <t>Minuten</t>
  </si>
  <si>
    <t>sm</t>
  </si>
  <si>
    <t>m</t>
  </si>
  <si>
    <t>kn</t>
  </si>
  <si>
    <t>Nord</t>
  </si>
  <si>
    <t>Ost</t>
  </si>
  <si>
    <t>Minute</t>
  </si>
  <si>
    <t>Linienmitte</t>
  </si>
  <si>
    <t>Bahnm.1</t>
  </si>
  <si>
    <t>Bahnm.2</t>
  </si>
  <si>
    <t>Bahnm.3a</t>
  </si>
  <si>
    <t>Pinend</t>
  </si>
  <si>
    <t>Kurslänge</t>
  </si>
  <si>
    <t>in sm</t>
  </si>
  <si>
    <t>in m</t>
  </si>
  <si>
    <t>max Dauer (min)</t>
  </si>
  <si>
    <t>Anwendung:</t>
  </si>
  <si>
    <t xml:space="preserve">Eingeben/Ändern  nur in den blauen Kästchen </t>
  </si>
  <si>
    <t xml:space="preserve">Die Koordinaten der Bahnmarken in den gelben Kästchen sowie </t>
  </si>
  <si>
    <t>Kurslänge und maximale Wettfahrtdauer für das erste Boot errechnet Excel</t>
  </si>
  <si>
    <t>ergeben sich Minutenwerte unter Null oder über 60.</t>
  </si>
  <si>
    <t xml:space="preserve">Falls der Kurs über einen Längen- oder Breitengrad verläuft, </t>
  </si>
  <si>
    <t>Beim Gradwert muss man gegenläufig 1 subtrahieren bzw. subtrahieren.</t>
  </si>
  <si>
    <t>Der richtige Minuten-Wert ergibt sich durch Addition bzw. Subtraktion von 60.</t>
  </si>
  <si>
    <t>Bahnberechnung Up an Down Kurs (2 Runden)</t>
  </si>
  <si>
    <t>Bahnberechnung Dreieckskurs (2 Runden)</t>
  </si>
  <si>
    <t>°</t>
  </si>
  <si>
    <t>Raumwinkel(in Grad)</t>
  </si>
  <si>
    <t>Leetor-Startl. 3-S (in sm)</t>
  </si>
  <si>
    <t>Koordinaten</t>
  </si>
  <si>
    <t>vom Startschiff</t>
  </si>
  <si>
    <t>Nord(Breite)</t>
  </si>
  <si>
    <t>Ost(Länge)</t>
  </si>
  <si>
    <t>zum Startschiff</t>
  </si>
  <si>
    <t>Min</t>
  </si>
  <si>
    <t>Windricht (Grad)</t>
  </si>
  <si>
    <t>Startschiff</t>
  </si>
  <si>
    <t xml:space="preserve">Winkel </t>
  </si>
  <si>
    <t>Länge</t>
  </si>
  <si>
    <t>in Grad</t>
  </si>
  <si>
    <t>Kreuz S-1 (sm)</t>
  </si>
  <si>
    <t>Raume 1-2(3-5) (sm)</t>
  </si>
  <si>
    <t>Raumwinkel (Grad)</t>
  </si>
  <si>
    <t>Vorw 2-3 (sm)</t>
  </si>
  <si>
    <t>Tor S-4 (sm)</t>
  </si>
  <si>
    <t>Bahnm.4a</t>
  </si>
  <si>
    <t>Ziel S-Z (sm)</t>
  </si>
  <si>
    <t>Bahnm.5</t>
  </si>
  <si>
    <t>Linienlänge (sm)</t>
  </si>
  <si>
    <t>Ziel</t>
  </si>
  <si>
    <t>Mindestgeschw.(kn)</t>
  </si>
  <si>
    <t>Abstand S-5 (sm)</t>
  </si>
  <si>
    <t>Bahnlängen</t>
  </si>
  <si>
    <t>Nur in die blauen Kästchen</t>
  </si>
  <si>
    <t>Outerloop</t>
  </si>
  <si>
    <t>sm:</t>
  </si>
  <si>
    <t>m:</t>
  </si>
  <si>
    <t>eingeben, nicht in die  gelben!</t>
  </si>
  <si>
    <t>Die gelben rechnet Excel!</t>
  </si>
  <si>
    <t>Innerloop</t>
  </si>
  <si>
    <t>max.Dauer (min)</t>
  </si>
  <si>
    <t>Bahnlängenberechnung nach GPS-Daten</t>
  </si>
  <si>
    <t xml:space="preserve">Koordinaten </t>
  </si>
  <si>
    <t>Schenkel</t>
  </si>
  <si>
    <t>Kurs</t>
  </si>
  <si>
    <t>Start</t>
  </si>
  <si>
    <t>Bahmarke 1</t>
  </si>
  <si>
    <t>Bahmarke 2</t>
  </si>
  <si>
    <t>Bahmarke 3</t>
  </si>
  <si>
    <t>Bahmarke 4</t>
  </si>
  <si>
    <t>Bahmarke 5</t>
  </si>
  <si>
    <t>Bahmarke 6</t>
  </si>
  <si>
    <t>Bahmarke 7</t>
  </si>
  <si>
    <t>Bahmarke 8</t>
  </si>
  <si>
    <t>Bahmarke 9</t>
  </si>
  <si>
    <t>Bahmarke 10</t>
  </si>
  <si>
    <t>Bahmarke 11</t>
  </si>
  <si>
    <t>Bahmarke 12</t>
  </si>
  <si>
    <t>Bahmarke 13</t>
  </si>
  <si>
    <t xml:space="preserve">Bahnberechnung Trapezkurs </t>
  </si>
  <si>
    <t>Handhabung</t>
  </si>
  <si>
    <t>Koordinaten  der wirklichen Lage der Bahnmarken der Reihe nach eingeben, dann wird Kurslänge berechnet.</t>
  </si>
  <si>
    <t xml:space="preserve">Zeit </t>
  </si>
  <si>
    <t>in min</t>
  </si>
  <si>
    <t>in kn</t>
  </si>
  <si>
    <t>Geschindigkeit</t>
  </si>
  <si>
    <t>Durchschnitt</t>
  </si>
  <si>
    <t>Wenn man die Durchgangszeiten des z.B. ersten Bootes eingibt, so erhält man die zugehörigen Geschwindigkeiten.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</si>
</sst>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3">
    <font>
      <sz val="10"/>
      <name val="Arial"/>
      <family val="0"/>
    </font>
    <font>
      <sz val="18"/>
      <name val="Arial"/>
      <family val="2"/>
    </font>
    <font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6" fontId="0" fillId="0" borderId="6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4" borderId="11" xfId="0" applyNumberFormat="1" applyFill="1" applyBorder="1" applyAlignment="1">
      <alignment/>
    </xf>
    <xf numFmtId="1" fontId="0" fillId="4" borderId="11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165" fontId="0" fillId="3" borderId="12" xfId="0" applyNumberFormat="1" applyFill="1" applyBorder="1" applyAlignment="1">
      <alignment/>
    </xf>
    <xf numFmtId="1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165" fontId="0" fillId="0" borderId="6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4" borderId="9" xfId="0" applyFill="1" applyBorder="1" applyAlignment="1">
      <alignment/>
    </xf>
    <xf numFmtId="0" fontId="0" fillId="4" borderId="11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1" xfId="0" applyFill="1" applyBorder="1" applyAlignment="1">
      <alignment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166" fontId="0" fillId="5" borderId="1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66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6" borderId="1" xfId="0" applyFill="1" applyBorder="1" applyAlignment="1">
      <alignment/>
    </xf>
    <xf numFmtId="1" fontId="0" fillId="4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0" fontId="0" fillId="0" borderId="13" xfId="0" applyBorder="1" applyAlignment="1">
      <alignment/>
    </xf>
    <xf numFmtId="1" fontId="0" fillId="3" borderId="1" xfId="0" applyNumberFormat="1" applyFill="1" applyBorder="1" applyAlignment="1">
      <alignment/>
    </xf>
    <xf numFmtId="0" fontId="0" fillId="0" borderId="14" xfId="0" applyBorder="1" applyAlignment="1">
      <alignment/>
    </xf>
    <xf numFmtId="165" fontId="0" fillId="5" borderId="1" xfId="0" applyNumberFormat="1" applyFill="1" applyBorder="1" applyAlignment="1">
      <alignment/>
    </xf>
    <xf numFmtId="165" fontId="0" fillId="7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5" fontId="0" fillId="6" borderId="1" xfId="0" applyNumberFormat="1" applyFill="1" applyBorder="1" applyAlignment="1">
      <alignment/>
    </xf>
    <xf numFmtId="0" fontId="0" fillId="5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7" borderId="1" xfId="0" applyFill="1" applyBorder="1" applyAlignment="1">
      <alignment/>
    </xf>
    <xf numFmtId="2" fontId="0" fillId="7" borderId="1" xfId="0" applyNumberFormat="1" applyFill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1</xdr:row>
      <xdr:rowOff>57150</xdr:rowOff>
    </xdr:from>
    <xdr:to>
      <xdr:col>12</xdr:col>
      <xdr:colOff>381000</xdr:colOff>
      <xdr:row>21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352425"/>
          <a:ext cx="23622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1</xdr:row>
      <xdr:rowOff>47625</xdr:rowOff>
    </xdr:from>
    <xdr:to>
      <xdr:col>12</xdr:col>
      <xdr:colOff>733425</xdr:colOff>
      <xdr:row>18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42900"/>
          <a:ext cx="29051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1</xdr:row>
      <xdr:rowOff>142875</xdr:rowOff>
    </xdr:from>
    <xdr:to>
      <xdr:col>14</xdr:col>
      <xdr:colOff>342900</xdr:colOff>
      <xdr:row>29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38150"/>
          <a:ext cx="3009900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6" sqref="E6"/>
    </sheetView>
  </sheetViews>
  <sheetFormatPr defaultColWidth="11.421875" defaultRowHeight="12.75"/>
  <cols>
    <col min="1" max="1" width="23.8515625" style="0" customWidth="1"/>
    <col min="2" max="2" width="7.28125" style="0" customWidth="1"/>
    <col min="3" max="3" width="8.57421875" style="0" customWidth="1"/>
    <col min="4" max="4" width="2.7109375" style="0" customWidth="1"/>
    <col min="6" max="6" width="5.140625" style="0" customWidth="1"/>
    <col min="7" max="7" width="8.140625" style="0" customWidth="1"/>
    <col min="8" max="8" width="7.140625" style="0" customWidth="1"/>
    <col min="9" max="9" width="7.8515625" style="0" customWidth="1"/>
  </cols>
  <sheetData>
    <row r="1" spans="1:9" ht="23.25">
      <c r="A1" s="29" t="s">
        <v>34</v>
      </c>
      <c r="B1" s="30"/>
      <c r="C1" s="30"/>
      <c r="D1" s="31"/>
      <c r="E1" s="30"/>
      <c r="F1" s="30"/>
      <c r="G1" s="28"/>
      <c r="H1" s="28"/>
      <c r="I1" s="28"/>
    </row>
    <row r="4" spans="1:3" ht="12.75">
      <c r="A4" s="5" t="s">
        <v>0</v>
      </c>
      <c r="B4" s="7"/>
      <c r="C4" s="6"/>
    </row>
    <row r="5" spans="1:9" ht="12.75">
      <c r="A5" s="32"/>
      <c r="B5" s="33" t="s">
        <v>9</v>
      </c>
      <c r="C5" s="34" t="s">
        <v>10</v>
      </c>
      <c r="E5" s="5"/>
      <c r="F5" s="5" t="s">
        <v>14</v>
      </c>
      <c r="G5" s="6"/>
      <c r="H5" s="7" t="s">
        <v>15</v>
      </c>
      <c r="I5" s="6"/>
    </row>
    <row r="6" spans="1:9" ht="12.75">
      <c r="A6" s="1" t="s">
        <v>2</v>
      </c>
      <c r="B6" s="3">
        <v>47</v>
      </c>
      <c r="C6" s="4">
        <v>54.34</v>
      </c>
      <c r="E6" s="8"/>
      <c r="F6" s="8" t="s">
        <v>9</v>
      </c>
      <c r="G6" s="9" t="s">
        <v>16</v>
      </c>
      <c r="H6" s="10" t="s">
        <v>9</v>
      </c>
      <c r="I6" s="9" t="s">
        <v>16</v>
      </c>
    </row>
    <row r="7" spans="1:9" ht="12.75">
      <c r="A7" s="1" t="s">
        <v>3</v>
      </c>
      <c r="B7" s="3">
        <v>12</v>
      </c>
      <c r="C7" s="4">
        <v>28.2</v>
      </c>
      <c r="E7" s="8" t="s">
        <v>17</v>
      </c>
      <c r="F7" s="8">
        <f>$B$6</f>
        <v>47</v>
      </c>
      <c r="G7" s="11">
        <f>$C$6+($B$13/2*COS(RADIANS($B$9-90)))</f>
        <v>54.26613941852409</v>
      </c>
      <c r="H7" s="10">
        <f>$B$7</f>
        <v>12</v>
      </c>
      <c r="I7" s="11">
        <f>$C$7+(($B$13/2*SIN(RADIANS($B$9-90)))/COS(RADIANS($B$6)))</f>
        <v>28.219096253140293</v>
      </c>
    </row>
    <row r="8" spans="1:9" ht="12.75">
      <c r="A8" s="2"/>
      <c r="E8" s="8"/>
      <c r="F8" s="8"/>
      <c r="G8" s="9"/>
      <c r="H8" s="10"/>
      <c r="I8" s="9"/>
    </row>
    <row r="9" spans="1:9" ht="12.75">
      <c r="A9" s="1" t="s">
        <v>4</v>
      </c>
      <c r="B9" s="3">
        <v>260</v>
      </c>
      <c r="C9" s="2" t="s">
        <v>36</v>
      </c>
      <c r="E9" s="12" t="s">
        <v>18</v>
      </c>
      <c r="F9" s="13">
        <f>$B$6</f>
        <v>47</v>
      </c>
      <c r="G9" s="22">
        <f>G7+($B$11*COS(RADIANS($B$9)))</f>
        <v>54.127220876390545</v>
      </c>
      <c r="H9" s="14">
        <f>$B$7</f>
        <v>12</v>
      </c>
      <c r="I9" s="22">
        <f>I7+(($B$11*SIN(RADIANS($B$9)))/COS(RADIANS($B$6)))</f>
        <v>27.06389376506163</v>
      </c>
    </row>
    <row r="10" spans="1:9" ht="12.75">
      <c r="A10" s="2"/>
      <c r="C10" s="10"/>
      <c r="E10" s="12"/>
      <c r="F10" s="8"/>
      <c r="G10" s="9"/>
      <c r="H10" s="10"/>
      <c r="I10" s="9"/>
    </row>
    <row r="11" spans="1:9" ht="12.75">
      <c r="A11" s="1" t="s">
        <v>7</v>
      </c>
      <c r="B11" s="3">
        <v>0.8</v>
      </c>
      <c r="C11" s="2" t="s">
        <v>11</v>
      </c>
      <c r="E11" s="12" t="s">
        <v>19</v>
      </c>
      <c r="F11" s="13">
        <f>$B$6</f>
        <v>47</v>
      </c>
      <c r="G11" s="22">
        <f>G9+($B$15*COS(RADIANS($B$9-90)))</f>
        <v>54.06813241120981</v>
      </c>
      <c r="H11" s="14">
        <f>$B$7</f>
        <v>12</v>
      </c>
      <c r="I11" s="22">
        <f>I9+(($B$15*SIN(RADIANS($B$9-90)))/COS(RADIANS($B$6)))</f>
        <v>27.079170767573864</v>
      </c>
    </row>
    <row r="12" spans="1:9" ht="12.75">
      <c r="A12" s="2"/>
      <c r="B12" s="25">
        <f>$B$11*1852</f>
        <v>1481.6000000000001</v>
      </c>
      <c r="C12" s="2" t="s">
        <v>12</v>
      </c>
      <c r="E12" s="12"/>
      <c r="F12" s="8"/>
      <c r="G12" s="23"/>
      <c r="H12" s="10"/>
      <c r="I12" s="9"/>
    </row>
    <row r="13" spans="1:9" ht="12.75">
      <c r="A13" s="1" t="s">
        <v>5</v>
      </c>
      <c r="B13" s="3">
        <v>0.15</v>
      </c>
      <c r="C13" s="2" t="s">
        <v>11</v>
      </c>
      <c r="E13" s="12" t="s">
        <v>20</v>
      </c>
      <c r="F13" s="13">
        <f>$B$6</f>
        <v>47</v>
      </c>
      <c r="G13" s="22">
        <f>G7-($B$17*COS(RADIANS($B$9)))</f>
        <v>54.2939231269508</v>
      </c>
      <c r="H13" s="14">
        <f>$B$7</f>
        <v>12</v>
      </c>
      <c r="I13" s="22">
        <f>I7-(($B$17*SIN(RADIANS($B$9)))/COS(RADIANS($B$6)))</f>
        <v>28.450136750756027</v>
      </c>
    </row>
    <row r="14" spans="1:9" ht="12.75">
      <c r="A14" s="2"/>
      <c r="B14" s="25">
        <f>$B$13*1852</f>
        <v>277.8</v>
      </c>
      <c r="C14" s="2" t="s">
        <v>12</v>
      </c>
      <c r="E14" s="12"/>
      <c r="F14" s="8"/>
      <c r="G14" s="9"/>
      <c r="H14" s="10"/>
      <c r="I14" s="9"/>
    </row>
    <row r="15" spans="1:9" ht="12.75">
      <c r="A15" s="1" t="s">
        <v>6</v>
      </c>
      <c r="B15" s="3">
        <v>0.06</v>
      </c>
      <c r="C15" s="2" t="s">
        <v>11</v>
      </c>
      <c r="E15" s="15" t="s">
        <v>21</v>
      </c>
      <c r="F15" s="16">
        <f>$B$6</f>
        <v>47</v>
      </c>
      <c r="G15" s="24">
        <f>$C$6+($B$13*COS(RADIANS($B$6-90)))</f>
        <v>54.44970305524288</v>
      </c>
      <c r="H15" s="17">
        <f>$B$7</f>
        <v>12</v>
      </c>
      <c r="I15" s="24">
        <f>$C$7+(($B$13*SIN(RADIANS($B$9-90)))/COS(RADIANS($B$6)))</f>
        <v>28.23819250628059</v>
      </c>
    </row>
    <row r="16" spans="1:3" ht="12.75">
      <c r="A16" s="2"/>
      <c r="B16" s="25">
        <f>$B$15*1852</f>
        <v>111.11999999999999</v>
      </c>
      <c r="C16" s="2" t="s">
        <v>12</v>
      </c>
    </row>
    <row r="17" spans="1:3" ht="12.75">
      <c r="A17" s="1" t="s">
        <v>8</v>
      </c>
      <c r="B17" s="3">
        <v>0.16</v>
      </c>
      <c r="C17" s="2" t="s">
        <v>11</v>
      </c>
    </row>
    <row r="18" spans="1:7" ht="12.75">
      <c r="A18" s="2"/>
      <c r="B18" s="25">
        <f>$B$17*1852</f>
        <v>296.32</v>
      </c>
      <c r="C18" s="2" t="s">
        <v>12</v>
      </c>
      <c r="E18" s="5" t="s">
        <v>22</v>
      </c>
      <c r="F18" s="7"/>
      <c r="G18" s="6"/>
    </row>
    <row r="19" spans="1:7" ht="12.75">
      <c r="A19" s="1" t="s">
        <v>1</v>
      </c>
      <c r="B19" s="3">
        <v>2.5</v>
      </c>
      <c r="C19" s="2" t="s">
        <v>13</v>
      </c>
      <c r="E19" s="18" t="s">
        <v>23</v>
      </c>
      <c r="F19" s="19"/>
      <c r="G19" s="20">
        <f>4*($B$11+$B$17)+2*$B$15</f>
        <v>3.9600000000000004</v>
      </c>
    </row>
    <row r="20" spans="5:7" ht="12.75">
      <c r="E20" s="18" t="s">
        <v>24</v>
      </c>
      <c r="F20" s="19"/>
      <c r="G20" s="21">
        <f>G19*1852</f>
        <v>7333.920000000001</v>
      </c>
    </row>
    <row r="21" spans="5:7" ht="12.75">
      <c r="E21" s="8"/>
      <c r="F21" s="10"/>
      <c r="G21" s="9"/>
    </row>
    <row r="22" spans="5:7" ht="12.75">
      <c r="E22" s="18" t="s">
        <v>25</v>
      </c>
      <c r="F22" s="19"/>
      <c r="G22" s="21">
        <f>(G19/$B$19)*60</f>
        <v>95.04</v>
      </c>
    </row>
    <row r="24" spans="1:7" ht="12.75">
      <c r="A24" s="27" t="s">
        <v>26</v>
      </c>
      <c r="B24" s="27"/>
      <c r="C24" s="27"/>
      <c r="D24" s="27"/>
      <c r="E24" s="27"/>
      <c r="F24" s="27"/>
      <c r="G24" s="27"/>
    </row>
    <row r="25" spans="1:7" ht="12.75">
      <c r="A25" s="27" t="s">
        <v>27</v>
      </c>
      <c r="B25" s="27"/>
      <c r="C25" s="27"/>
      <c r="D25" s="27"/>
      <c r="E25" s="27"/>
      <c r="F25" s="27"/>
      <c r="G25" s="27"/>
    </row>
    <row r="26" spans="1:7" ht="12.75">
      <c r="A26" s="27" t="s">
        <v>28</v>
      </c>
      <c r="B26" s="27"/>
      <c r="C26" s="27"/>
      <c r="D26" s="27"/>
      <c r="E26" s="27"/>
      <c r="F26" s="27"/>
      <c r="G26" s="27"/>
    </row>
    <row r="27" spans="1:7" ht="12.75">
      <c r="A27" s="27" t="s">
        <v>29</v>
      </c>
      <c r="B27" s="27"/>
      <c r="C27" s="27"/>
      <c r="D27" s="27"/>
      <c r="E27" s="27"/>
      <c r="F27" s="27"/>
      <c r="G27" s="27"/>
    </row>
    <row r="29" ht="12.75">
      <c r="A29" s="28" t="s">
        <v>31</v>
      </c>
    </row>
    <row r="30" ht="12.75">
      <c r="A30" t="s">
        <v>30</v>
      </c>
    </row>
    <row r="31" ht="12.75">
      <c r="A31" t="s">
        <v>33</v>
      </c>
    </row>
    <row r="32" ht="12.75">
      <c r="A32" t="s">
        <v>32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I25" sqref="I25"/>
    </sheetView>
  </sheetViews>
  <sheetFormatPr defaultColWidth="11.421875" defaultRowHeight="12.75"/>
  <cols>
    <col min="1" max="1" width="21.57421875" style="0" customWidth="1"/>
    <col min="2" max="2" width="7.57421875" style="0" customWidth="1"/>
    <col min="3" max="3" width="8.28125" style="0" customWidth="1"/>
    <col min="4" max="4" width="3.140625" style="0" customWidth="1"/>
    <col min="5" max="5" width="10.00390625" style="0" customWidth="1"/>
    <col min="6" max="6" width="6.28125" style="0" customWidth="1"/>
    <col min="7" max="7" width="8.140625" style="0" customWidth="1"/>
    <col min="8" max="8" width="5.421875" style="0" customWidth="1"/>
    <col min="9" max="9" width="7.8515625" style="0" customWidth="1"/>
    <col min="14" max="14" width="6.140625" style="0" customWidth="1"/>
  </cols>
  <sheetData>
    <row r="1" ht="23.25">
      <c r="A1" s="29" t="s">
        <v>35</v>
      </c>
    </row>
    <row r="4" spans="1:3" ht="12.75">
      <c r="A4" s="5" t="s">
        <v>0</v>
      </c>
      <c r="B4" s="7"/>
      <c r="C4" s="6"/>
    </row>
    <row r="5" spans="1:9" ht="12.75">
      <c r="A5" s="32"/>
      <c r="B5" s="33" t="s">
        <v>9</v>
      </c>
      <c r="C5" s="34" t="s">
        <v>10</v>
      </c>
      <c r="E5" s="5"/>
      <c r="F5" s="5" t="s">
        <v>14</v>
      </c>
      <c r="G5" s="6"/>
      <c r="H5" s="7" t="s">
        <v>15</v>
      </c>
      <c r="I5" s="6"/>
    </row>
    <row r="6" spans="1:9" ht="12.75">
      <c r="A6" s="1" t="s">
        <v>2</v>
      </c>
      <c r="B6" s="3">
        <v>47</v>
      </c>
      <c r="C6" s="4">
        <v>54.34</v>
      </c>
      <c r="E6" s="8"/>
      <c r="F6" s="8" t="s">
        <v>9</v>
      </c>
      <c r="G6" s="9" t="s">
        <v>16</v>
      </c>
      <c r="H6" s="10" t="s">
        <v>9</v>
      </c>
      <c r="I6" s="9" t="s">
        <v>16</v>
      </c>
    </row>
    <row r="7" spans="1:9" ht="12.75">
      <c r="A7" s="1" t="s">
        <v>3</v>
      </c>
      <c r="B7" s="3">
        <v>12</v>
      </c>
      <c r="C7" s="4">
        <v>28.2</v>
      </c>
      <c r="E7" s="8" t="s">
        <v>17</v>
      </c>
      <c r="F7" s="8">
        <f>$B$6</f>
        <v>47</v>
      </c>
      <c r="G7" s="35">
        <f>$C$6+($B$15/2*COS(RADIANS($B$9-90)))</f>
        <v>54.26613941852409</v>
      </c>
      <c r="H7" s="10">
        <f>$B$7</f>
        <v>12</v>
      </c>
      <c r="I7" s="35">
        <f>$C$7+(($B$15/2*SIN(RADIANS($B$9-90)))/COS(RADIANS($B$6)))</f>
        <v>28.219096253140293</v>
      </c>
    </row>
    <row r="8" spans="1:9" ht="12.75">
      <c r="A8" s="2"/>
      <c r="E8" s="8"/>
      <c r="F8" s="8"/>
      <c r="G8" s="9"/>
      <c r="H8" s="10"/>
      <c r="I8" s="9"/>
    </row>
    <row r="9" spans="1:9" ht="12.75">
      <c r="A9" s="1" t="s">
        <v>4</v>
      </c>
      <c r="B9" s="3">
        <v>260</v>
      </c>
      <c r="C9" s="3" t="s">
        <v>36</v>
      </c>
      <c r="E9" s="12" t="s">
        <v>18</v>
      </c>
      <c r="F9" s="13">
        <f>$B$6</f>
        <v>47</v>
      </c>
      <c r="G9" s="22">
        <f>G7+($B$11*COS(RADIANS($B$9)))</f>
        <v>54.127220876390545</v>
      </c>
      <c r="H9" s="14">
        <f>$B$7</f>
        <v>12</v>
      </c>
      <c r="I9" s="22">
        <f>I7+(($B$11*SIN(RADIANS($B$9)))/COS(RADIANS($B$6)))</f>
        <v>27.06389376506163</v>
      </c>
    </row>
    <row r="10" spans="1:9" ht="12.75">
      <c r="A10" s="2"/>
      <c r="E10" s="12"/>
      <c r="F10" s="8"/>
      <c r="G10" s="9"/>
      <c r="H10" s="10"/>
      <c r="I10" s="9"/>
    </row>
    <row r="11" spans="1:9" ht="12.75">
      <c r="A11" s="1" t="s">
        <v>7</v>
      </c>
      <c r="B11" s="3">
        <v>0.8</v>
      </c>
      <c r="C11" s="3" t="s">
        <v>11</v>
      </c>
      <c r="E11" s="12" t="s">
        <v>19</v>
      </c>
      <c r="F11" s="13">
        <f>$B$6</f>
        <v>47</v>
      </c>
      <c r="G11" s="22">
        <f>G9+(($B$11+$B$17)/COS(RADIANS(180-$B$13))/2*COS(RADIANS($B$9-$B$13)))</f>
        <v>53.76219906748517</v>
      </c>
      <c r="H11" s="14">
        <f>$B$7</f>
        <v>12</v>
      </c>
      <c r="I11" s="22">
        <f>I9+((($B$11+$B$17)/COS(RADIANS(180-$B$13))/2*SIN(RADIANS($B$9-$B$13)))/COS(RADIANS($B$6)))</f>
        <v>27.828272683447647</v>
      </c>
    </row>
    <row r="12" spans="1:9" ht="12.75">
      <c r="A12" s="2"/>
      <c r="B12" s="25">
        <f>$B$11*1852</f>
        <v>1481.6000000000001</v>
      </c>
      <c r="C12" s="26" t="s">
        <v>12</v>
      </c>
      <c r="E12" s="12"/>
      <c r="F12" s="8"/>
      <c r="G12" s="23"/>
      <c r="H12" s="10"/>
      <c r="I12" s="9"/>
    </row>
    <row r="13" spans="1:9" ht="12.75">
      <c r="A13" s="1" t="s">
        <v>37</v>
      </c>
      <c r="B13" s="3">
        <v>135</v>
      </c>
      <c r="C13" s="3" t="s">
        <v>36</v>
      </c>
      <c r="E13" s="12" t="s">
        <v>20</v>
      </c>
      <c r="F13" s="13">
        <f>$B$6</f>
        <v>47</v>
      </c>
      <c r="G13" s="22">
        <f>G7-($B$17*COS(RADIANS($B$9)))</f>
        <v>54.28350423629078</v>
      </c>
      <c r="H13" s="14">
        <f>$B$7</f>
        <v>12</v>
      </c>
      <c r="I13" s="22">
        <f>I7-(($B$17*SIN(RADIANS($B$9)))/COS(RADIANS($B$6)))</f>
        <v>28.363496564150125</v>
      </c>
    </row>
    <row r="14" spans="5:9" ht="12.75">
      <c r="E14" s="12"/>
      <c r="F14" s="8"/>
      <c r="G14" s="9"/>
      <c r="H14" s="10"/>
      <c r="I14" s="9"/>
    </row>
    <row r="15" spans="1:9" ht="12.75">
      <c r="A15" s="1" t="s">
        <v>5</v>
      </c>
      <c r="B15" s="3">
        <v>0.15</v>
      </c>
      <c r="C15" s="3" t="s">
        <v>11</v>
      </c>
      <c r="E15" s="15" t="s">
        <v>21</v>
      </c>
      <c r="F15" s="16">
        <f>$B$6</f>
        <v>47</v>
      </c>
      <c r="G15" s="24">
        <f>$C$6+($B$15*COS(RADIANS($B$6-90)))</f>
        <v>54.44970305524288</v>
      </c>
      <c r="H15" s="17">
        <f>$B$7</f>
        <v>12</v>
      </c>
      <c r="I15" s="24">
        <f>$C$7+(($B$15*SIN(RADIANS($B$9-90)))/COS(RADIANS($B$6)))</f>
        <v>28.23819250628059</v>
      </c>
    </row>
    <row r="16" spans="1:3" ht="12.75">
      <c r="A16" s="2"/>
      <c r="B16" s="25">
        <f>$B$15*1852</f>
        <v>277.8</v>
      </c>
      <c r="C16" s="26" t="s">
        <v>12</v>
      </c>
    </row>
    <row r="17" spans="1:3" ht="12.75">
      <c r="A17" s="1" t="s">
        <v>38</v>
      </c>
      <c r="B17" s="3">
        <v>0.1</v>
      </c>
      <c r="C17" s="3" t="s">
        <v>11</v>
      </c>
    </row>
    <row r="18" spans="1:7" ht="12.75">
      <c r="A18" s="2"/>
      <c r="B18" s="25">
        <f>$B$17*1852</f>
        <v>185.20000000000002</v>
      </c>
      <c r="C18" s="26" t="s">
        <v>12</v>
      </c>
      <c r="E18" s="5" t="s">
        <v>22</v>
      </c>
      <c r="F18" s="7"/>
      <c r="G18" s="6"/>
    </row>
    <row r="19" spans="1:7" ht="12.75">
      <c r="A19" s="1" t="s">
        <v>1</v>
      </c>
      <c r="B19" s="3">
        <v>2.5</v>
      </c>
      <c r="C19" s="3" t="s">
        <v>13</v>
      </c>
      <c r="E19" s="18" t="s">
        <v>23</v>
      </c>
      <c r="F19" s="19"/>
      <c r="G19" s="20">
        <f>($B$11+$B$17)*(3+(1/COS(RADIANS(180-$B$13))))</f>
        <v>3.9727922061357854</v>
      </c>
    </row>
    <row r="20" spans="5:7" ht="12.75">
      <c r="E20" s="18" t="s">
        <v>24</v>
      </c>
      <c r="F20" s="19"/>
      <c r="G20" s="21">
        <f>G19*1852</f>
        <v>7357.611165763475</v>
      </c>
    </row>
    <row r="21" spans="5:7" ht="12.75">
      <c r="E21" s="8"/>
      <c r="F21" s="10"/>
      <c r="G21" s="9"/>
    </row>
    <row r="22" spans="5:7" ht="12.75">
      <c r="E22" s="18" t="s">
        <v>25</v>
      </c>
      <c r="F22" s="19"/>
      <c r="G22" s="21">
        <f>(G19/$B$19)*60</f>
        <v>95.34701294725886</v>
      </c>
    </row>
    <row r="24" spans="1:7" ht="12.75">
      <c r="A24" s="27" t="s">
        <v>26</v>
      </c>
      <c r="B24" s="27"/>
      <c r="C24" s="27"/>
      <c r="D24" s="27"/>
      <c r="E24" s="27"/>
      <c r="F24" s="27"/>
      <c r="G24" s="27"/>
    </row>
    <row r="25" spans="1:7" ht="12.75">
      <c r="A25" s="27" t="s">
        <v>27</v>
      </c>
      <c r="B25" s="27"/>
      <c r="C25" s="27"/>
      <c r="D25" s="27"/>
      <c r="E25" s="27"/>
      <c r="F25" s="27"/>
      <c r="G25" s="27"/>
    </row>
    <row r="26" spans="1:7" ht="12.75">
      <c r="A26" s="27" t="s">
        <v>28</v>
      </c>
      <c r="B26" s="27"/>
      <c r="C26" s="27"/>
      <c r="D26" s="27"/>
      <c r="E26" s="27"/>
      <c r="F26" s="27"/>
      <c r="G26" s="27"/>
    </row>
    <row r="27" spans="1:7" ht="12.75">
      <c r="A27" s="27" t="s">
        <v>29</v>
      </c>
      <c r="B27" s="27"/>
      <c r="C27" s="27"/>
      <c r="D27" s="27"/>
      <c r="E27" s="27"/>
      <c r="F27" s="27"/>
      <c r="G27" s="27"/>
    </row>
    <row r="29" ht="12.75">
      <c r="A29" s="28" t="s">
        <v>31</v>
      </c>
    </row>
    <row r="30" ht="12.75">
      <c r="A30" t="s">
        <v>30</v>
      </c>
    </row>
    <row r="31" ht="12.75">
      <c r="A31" t="s">
        <v>33</v>
      </c>
    </row>
    <row r="32" ht="12.75">
      <c r="A32" t="s">
        <v>32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7.140625" style="0" customWidth="1"/>
    <col min="3" max="3" width="0.5625" style="0" customWidth="1"/>
    <col min="4" max="4" width="9.57421875" style="0" customWidth="1"/>
    <col min="5" max="5" width="4.57421875" style="0" customWidth="1"/>
    <col min="6" max="6" width="8.140625" style="0" customWidth="1"/>
    <col min="7" max="7" width="4.8515625" style="0" customWidth="1"/>
    <col min="8" max="8" width="8.140625" style="0" customWidth="1"/>
    <col min="9" max="9" width="6.57421875" style="0" customWidth="1"/>
    <col min="10" max="10" width="6.8515625" style="0" customWidth="1"/>
  </cols>
  <sheetData>
    <row r="1" spans="1:4" ht="23.25">
      <c r="A1" s="36" t="s">
        <v>89</v>
      </c>
      <c r="B1" s="36"/>
      <c r="C1" s="36"/>
      <c r="D1" s="36"/>
    </row>
    <row r="3" spans="5:10" ht="20.25">
      <c r="E3" s="37" t="s">
        <v>39</v>
      </c>
      <c r="F3" s="37"/>
      <c r="I3" s="38" t="s">
        <v>40</v>
      </c>
      <c r="J3" s="39"/>
    </row>
    <row r="4" spans="5:10" ht="12.75">
      <c r="E4" t="s">
        <v>41</v>
      </c>
      <c r="G4" t="s">
        <v>42</v>
      </c>
      <c r="I4" s="40" t="s">
        <v>43</v>
      </c>
      <c r="J4" s="41"/>
    </row>
    <row r="5" spans="5:8" ht="12.75">
      <c r="E5" t="s">
        <v>9</v>
      </c>
      <c r="F5" t="s">
        <v>44</v>
      </c>
      <c r="G5" t="s">
        <v>9</v>
      </c>
      <c r="H5" t="s">
        <v>44</v>
      </c>
    </row>
    <row r="6" spans="1:10" ht="12.75">
      <c r="A6" s="42" t="s">
        <v>45</v>
      </c>
      <c r="B6" s="43">
        <v>240</v>
      </c>
      <c r="D6" s="42" t="s">
        <v>46</v>
      </c>
      <c r="E6" s="43">
        <v>47</v>
      </c>
      <c r="F6" s="44">
        <v>54.72</v>
      </c>
      <c r="G6" s="43">
        <v>12</v>
      </c>
      <c r="H6" s="44">
        <v>28.2</v>
      </c>
      <c r="I6" t="s">
        <v>47</v>
      </c>
      <c r="J6" t="s">
        <v>48</v>
      </c>
    </row>
    <row r="7" spans="9:10" ht="12.75">
      <c r="I7" t="s">
        <v>49</v>
      </c>
      <c r="J7" t="s">
        <v>11</v>
      </c>
    </row>
    <row r="8" spans="1:10" ht="12.75">
      <c r="A8" s="42" t="s">
        <v>50</v>
      </c>
      <c r="B8" s="45">
        <v>0.6</v>
      </c>
      <c r="D8" s="42" t="s">
        <v>17</v>
      </c>
      <c r="E8" s="46">
        <f>NB1</f>
        <v>47</v>
      </c>
      <c r="F8" s="47">
        <f>NM1+(LL1/2*COS(RADIANS(WR1-90)))</f>
        <v>54.65937822173509</v>
      </c>
      <c r="G8" s="46">
        <f>OL1</f>
        <v>12</v>
      </c>
      <c r="H8" s="47">
        <f>OB1+((LL1/2*SIN(RADIANS(WR1-90)))/COS(RADIANS(NB1)))</f>
        <v>28.251319771497386</v>
      </c>
      <c r="I8" s="48">
        <f>IF(DEGREES(ATAN2((F8-NM1),((H8-OB1)*COS(RADIANS(NB1)))))&lt;0,360+DEGREES(ATAN2((F8-NM1),((H8-OB1)*COS(RADIANS(NB1))))),DEGREES(ATAN2((F8-NM1),((H8-OB1)*COS(RADIANS(NB1))))))</f>
        <v>149.99999999999986</v>
      </c>
      <c r="J8" s="48">
        <f>SQRT(SUMSQ((F8-NM1),((H8-OB1)*COS(RADIANS(NB1)))))</f>
        <v>0.06999999999999891</v>
      </c>
    </row>
    <row r="9" spans="1:9" ht="12.75">
      <c r="A9" s="49" t="s">
        <v>12</v>
      </c>
      <c r="B9" s="50">
        <f>B8*1852</f>
        <v>1111.2</v>
      </c>
      <c r="H9" s="51"/>
      <c r="I9" s="52">
        <f>IF(I8&lt;180,I8+180,I8-180)</f>
        <v>329.9999999999999</v>
      </c>
    </row>
    <row r="10" spans="1:10" ht="12.75">
      <c r="A10" s="42" t="s">
        <v>51</v>
      </c>
      <c r="B10" s="45">
        <v>0.25</v>
      </c>
      <c r="D10" s="42" t="s">
        <v>18</v>
      </c>
      <c r="E10" s="46">
        <f>NB1</f>
        <v>47</v>
      </c>
      <c r="F10" s="47">
        <f>F8+(KL1*COS(RADIANS(WR1)))</f>
        <v>54.35937822173509</v>
      </c>
      <c r="G10" s="46">
        <f>OL1</f>
        <v>12</v>
      </c>
      <c r="H10" s="47">
        <f>H8+((KL1*SIN(RADIANS(WR1)))/COS(RADIANS(NB1)))</f>
        <v>27.48941875721482</v>
      </c>
      <c r="I10" s="53">
        <f>IF(DEGREES(ATAN2((F10-NM1),((H10-OB1)*COS(RADIANS(NB1)))))&lt;0,360+DEGREES(ATAN2((F10-NM1),((H10-OB1)*COS(RADIANS(NB1))))),DEGREES(ATAN2((F10-NM1),((H10-OB1)*COS(RADIANS(NB1))))))</f>
        <v>233.34557495399372</v>
      </c>
      <c r="J10" s="54">
        <f>SQRT(SUMSQ((F10-NM1),((H10-OB1)*COS(RADIANS(NB1)))))</f>
        <v>0.6040695324215563</v>
      </c>
    </row>
    <row r="11" spans="1:9" ht="12.75">
      <c r="A11" s="49" t="s">
        <v>12</v>
      </c>
      <c r="B11" s="50">
        <f>B10*1852</f>
        <v>463</v>
      </c>
      <c r="H11" s="51"/>
      <c r="I11" s="55">
        <f>IF(I10&lt;180,I10+180,I10-180)</f>
        <v>53.34557495399372</v>
      </c>
    </row>
    <row r="12" spans="1:10" ht="12.75">
      <c r="A12" s="42" t="s">
        <v>52</v>
      </c>
      <c r="B12" s="43">
        <v>120</v>
      </c>
      <c r="D12" s="42" t="s">
        <v>19</v>
      </c>
      <c r="E12" s="46">
        <f>NB1</f>
        <v>47</v>
      </c>
      <c r="F12" s="47">
        <f>F10+(RL1*COS(RADIANS(WR1-RW1)))</f>
        <v>54.23437822173509</v>
      </c>
      <c r="G12" s="46">
        <f>OL1</f>
        <v>12</v>
      </c>
      <c r="H12" s="47">
        <f>H10+((RL1*SIN(RADIANS(WR1-RW1)))/COS(RADIANS(NB1)))</f>
        <v>27.80687751316589</v>
      </c>
      <c r="I12" s="56">
        <f>IF(DEGREES(ATAN2((F12-NM1),((H12-OB1)*COS(RADIANS(NB1)))))&lt;0,360+DEGREES(ATAN2((F12-NM1),((H12-OB1)*COS(RADIANS(NB1))))),DEGREES(ATAN2((F12-NM1),((H12-OB1)*COS(RADIANS(NB1))))))</f>
        <v>208.90282734905875</v>
      </c>
      <c r="J12" s="54">
        <f>SQRT(SUMSQ((F12-NM1),((H12-OB1)*COS(RADIANS(NB1)))))</f>
        <v>0.5547169450561715</v>
      </c>
    </row>
    <row r="13" spans="8:9" ht="12.75">
      <c r="H13" s="51"/>
      <c r="I13" s="55">
        <f>IF(I12&lt;180,I12+180,I12-180)</f>
        <v>28.902827349058754</v>
      </c>
    </row>
    <row r="14" spans="1:10" ht="12.75">
      <c r="A14" s="42" t="s">
        <v>53</v>
      </c>
      <c r="B14" s="45">
        <v>0.55</v>
      </c>
      <c r="D14" s="42" t="s">
        <v>20</v>
      </c>
      <c r="E14" s="46">
        <f>NB1</f>
        <v>47</v>
      </c>
      <c r="F14" s="47">
        <f>F12-(VL1*COS(RADIANS(WR1)))</f>
        <v>54.50937822173509</v>
      </c>
      <c r="G14" s="46">
        <f>OL1</f>
        <v>12</v>
      </c>
      <c r="H14" s="47">
        <f>H12-((VL1*SIN(RADIANS(WR1)))/COS(RADIANS(NB1)))</f>
        <v>28.50528677625824</v>
      </c>
      <c r="I14" s="56">
        <f>IF(DEGREES(ATAN2((F14-NM1),((H14-OB1)*COS(RADIANS(NB1)))))&lt;0,360+DEGREES(ATAN2((F14-NM1),((H14-OB1)*COS(RADIANS(NB1))))),DEGREES(ATAN2((F14-NM1),((H14-OB1)*COS(RADIANS(NB1))))))</f>
        <v>135.33060208026683</v>
      </c>
      <c r="J14" s="54">
        <f>SQRT(SUMSQ((F14-NM1),((H14-OB1)*COS(RADIANS(NB1)))))</f>
        <v>0.29616024232238614</v>
      </c>
    </row>
    <row r="15" spans="1:9" ht="12.75">
      <c r="A15" s="49" t="s">
        <v>12</v>
      </c>
      <c r="B15" s="50">
        <f>B14*1852</f>
        <v>1018.6000000000001</v>
      </c>
      <c r="H15" s="51"/>
      <c r="I15" s="55">
        <f>IF(I14&lt;180,I14+180,I14-180)</f>
        <v>315.33060208026683</v>
      </c>
    </row>
    <row r="16" spans="1:10" ht="12.75">
      <c r="A16" s="42" t="s">
        <v>54</v>
      </c>
      <c r="B16" s="43">
        <v>0.05</v>
      </c>
      <c r="D16" s="42" t="s">
        <v>55</v>
      </c>
      <c r="E16" s="46">
        <f>NB1</f>
        <v>47</v>
      </c>
      <c r="F16" s="47">
        <f>F8+(TL1*COS(RADIANS(WR1)))</f>
        <v>54.63437822173509</v>
      </c>
      <c r="G16" s="46">
        <f>OL1</f>
        <v>12</v>
      </c>
      <c r="H16" s="47">
        <f>H8+((TL1*SIN(RADIANS(WR1)))/COS(RADIANS(NB1)))</f>
        <v>28.187828020307172</v>
      </c>
      <c r="I16" s="56">
        <f>IF(DEGREES(ATAN2((F16-NM1),((H16-OB1)*COS(RADIANS(NB1)))))&lt;0,360+DEGREES(ATAN2((F16-NM1),((H16-OB1)*COS(RADIANS(NB1))))),DEGREES(ATAN2((F16-NM1),((H16-OB1)*COS(RADIANS(NB1))))))</f>
        <v>185.53767779197452</v>
      </c>
      <c r="J16" s="54">
        <f>SQRT(SUMSQ((F16-NM1),((H16-OB1)*COS(RADIANS(NB1)))))</f>
        <v>0.08602325267042381</v>
      </c>
    </row>
    <row r="17" spans="1:9" ht="12.75">
      <c r="A17" s="49" t="s">
        <v>12</v>
      </c>
      <c r="B17" s="50">
        <f>B16*1852</f>
        <v>92.60000000000001</v>
      </c>
      <c r="H17" s="51"/>
      <c r="I17" s="55">
        <f>IF(I16&lt;180,I16+180,I16-180)</f>
        <v>5.537677791974517</v>
      </c>
    </row>
    <row r="18" spans="1:10" ht="12.75">
      <c r="A18" s="42" t="s">
        <v>56</v>
      </c>
      <c r="B18" s="43">
        <v>0.08</v>
      </c>
      <c r="D18" s="42" t="s">
        <v>57</v>
      </c>
      <c r="E18" s="46">
        <f>NB1</f>
        <v>47</v>
      </c>
      <c r="F18" s="47">
        <f>F8-(B24*COS(RADIANS(WR1)))</f>
        <v>54.75937822173509</v>
      </c>
      <c r="G18" s="46">
        <f>OL1</f>
        <v>12</v>
      </c>
      <c r="H18" s="47">
        <f>H8-((B24*SIN(RADIANS(WR1)))/COS(RADIANS(NB1)))</f>
        <v>28.50528677625824</v>
      </c>
      <c r="I18" s="56">
        <f>IF(DEGREES(ATAN2((F18-NM1),((H18-OB1)*COS(RADIANS(NB1)))))&lt;0,360+DEGREES(ATAN2((F18-NM1),((H18-OB1)*COS(RADIANS(NB1))))),DEGREES(ATAN2((F18-NM1),((H18-OB1)*COS(RADIANS(NB1))))))</f>
        <v>79.2900462191881</v>
      </c>
      <c r="J18" s="54">
        <f>SQRT(SUMSQ((F18-NM1),((H18-OB1)*COS(RADIANS(NB1)))))</f>
        <v>0.21189620100417175</v>
      </c>
    </row>
    <row r="19" spans="1:9" ht="12.75">
      <c r="A19" s="49" t="s">
        <v>12</v>
      </c>
      <c r="B19" s="50">
        <f>B18*1852</f>
        <v>148.16</v>
      </c>
      <c r="H19" s="51"/>
      <c r="I19" s="55">
        <f>IF(I18&lt;180,I18+180,I18-180)</f>
        <v>259.29004621918807</v>
      </c>
    </row>
    <row r="20" spans="1:10" ht="12.75">
      <c r="A20" s="42" t="s">
        <v>58</v>
      </c>
      <c r="B20" s="43">
        <v>0.14</v>
      </c>
      <c r="D20" s="42" t="s">
        <v>59</v>
      </c>
      <c r="E20" s="46">
        <f>NB1</f>
        <v>47</v>
      </c>
      <c r="F20" s="47">
        <f>F8-(ZL1*COS(RADIANS(WR1)))</f>
        <v>54.69937822173509</v>
      </c>
      <c r="G20" s="46">
        <f>OL1</f>
        <v>12</v>
      </c>
      <c r="H20" s="47">
        <f>H8-((ZL1*SIN(RADIANS(WR1)))/COS(RADIANS(NB1)))</f>
        <v>28.35290657340173</v>
      </c>
      <c r="I20" s="56">
        <f>IF(DEGREES(ATAN2((F20-NM1),((H20-OB1)*COS(RADIANS(NB1)))))&lt;0,360+DEGREES(ATAN2((F20-NM1),((H20-OB1)*COS(RADIANS(NB1))))),DEGREES(ATAN2((F20-NM1),((H20-OB1)*COS(RADIANS(NB1))))))</f>
        <v>101.1859251657095</v>
      </c>
      <c r="J20" s="54">
        <f>SQRT(SUMSQ((F20-NM1),((H20-OB1)*COS(RADIANS(NB1)))))</f>
        <v>0.10630145812734687</v>
      </c>
    </row>
    <row r="21" spans="1:9" ht="12.75">
      <c r="A21" s="49" t="s">
        <v>12</v>
      </c>
      <c r="B21" s="50">
        <f>B20*1852</f>
        <v>259.28000000000003</v>
      </c>
      <c r="H21" s="51"/>
      <c r="I21" s="55">
        <f>IF(I20&lt;180,I20+180,I20-180)</f>
        <v>281.1859251657095</v>
      </c>
    </row>
    <row r="22" spans="1:10" ht="12.75">
      <c r="A22" s="42" t="s">
        <v>60</v>
      </c>
      <c r="B22" s="57">
        <v>2.5</v>
      </c>
      <c r="D22" s="42" t="s">
        <v>21</v>
      </c>
      <c r="E22" s="46">
        <f>NB1</f>
        <v>47</v>
      </c>
      <c r="F22" s="47">
        <f>NM1+(LL1*COS(RADIANS(WR1-90)))</f>
        <v>54.59875644347018</v>
      </c>
      <c r="G22" s="46">
        <f>OL1</f>
        <v>12</v>
      </c>
      <c r="H22" s="47">
        <f>OB1+((LL1*SIN(RADIANS(WR1-90)))/COS(RADIANS(NB1)))</f>
        <v>28.302639542994772</v>
      </c>
      <c r="I22" s="48">
        <f>IF(DEGREES(ATAN2((F22-NM1),((H22-OB1)*COS(RADIANS(NB1)))))&lt;0,360+DEGREES(ATAN2((F22-NM1),((H22-OB1)*COS(RADIANS(NB1))))),DEGREES(ATAN2((F22-NM1),((H22-OB1)*COS(RADIANS(NB1))))))</f>
        <v>149.99999999999986</v>
      </c>
      <c r="J22" s="48">
        <f>SQRT(SUMSQ((F22-NM1),((H22-OB1)*COS(RADIANS(NB1)))))</f>
        <v>0.13999999999999782</v>
      </c>
    </row>
    <row r="23" spans="8:9" ht="12.75">
      <c r="H23" s="51"/>
      <c r="I23" s="55">
        <f>IF(I22&lt;180,I22+180,I22-180)</f>
        <v>329.9999999999999</v>
      </c>
    </row>
    <row r="24" spans="1:2" ht="12.75">
      <c r="A24" s="42" t="s">
        <v>61</v>
      </c>
      <c r="B24" s="58">
        <f>VL1-2*RL1*COS(RADIANS(RW1))-KL1</f>
        <v>0.19999999999999996</v>
      </c>
    </row>
    <row r="25" spans="1:4" ht="12.75">
      <c r="A25" s="49" t="s">
        <v>12</v>
      </c>
      <c r="B25" s="50">
        <f>B24*1852</f>
        <v>370.3999999999999</v>
      </c>
      <c r="D25" t="s">
        <v>62</v>
      </c>
    </row>
    <row r="26" spans="1:8" ht="12.75">
      <c r="A26" t="s">
        <v>63</v>
      </c>
      <c r="D26" s="42" t="s">
        <v>64</v>
      </c>
      <c r="E26" s="59" t="s">
        <v>65</v>
      </c>
      <c r="F26" s="60">
        <f>KL1+2*RL1+3*VL1+B24-ZL1</f>
        <v>2.87</v>
      </c>
      <c r="G26" s="59" t="s">
        <v>66</v>
      </c>
      <c r="H26" s="61">
        <f>F26*1852</f>
        <v>5315.24</v>
      </c>
    </row>
    <row r="27" ht="12.75">
      <c r="A27" t="s">
        <v>67</v>
      </c>
    </row>
    <row r="28" spans="1:8" ht="12.75">
      <c r="A28" t="s">
        <v>68</v>
      </c>
      <c r="D28" s="42" t="s">
        <v>69</v>
      </c>
      <c r="E28" s="59" t="s">
        <v>65</v>
      </c>
      <c r="F28" s="60">
        <f>3*KL1-2*TL1+2*RL1+VL1+B24-ZL1</f>
        <v>2.87</v>
      </c>
      <c r="G28" s="59" t="s">
        <v>66</v>
      </c>
      <c r="H28" s="61">
        <f>F28*1852</f>
        <v>5315.24</v>
      </c>
    </row>
    <row r="30" spans="6:8" ht="12.75">
      <c r="F30" s="42" t="s">
        <v>64</v>
      </c>
      <c r="G30" s="62"/>
      <c r="H30" s="42" t="s">
        <v>69</v>
      </c>
    </row>
    <row r="31" spans="4:8" ht="12.75">
      <c r="D31" s="18" t="s">
        <v>70</v>
      </c>
      <c r="E31" s="19"/>
      <c r="F31" s="63">
        <f>F26/B22*60</f>
        <v>68.88000000000001</v>
      </c>
      <c r="G31" s="64"/>
      <c r="H31" s="63">
        <f>F28/B22*60</f>
        <v>68.88000000000001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23" sqref="A23"/>
    </sheetView>
  </sheetViews>
  <sheetFormatPr defaultColWidth="11.421875" defaultRowHeight="12.75"/>
  <cols>
    <col min="2" max="2" width="6.00390625" style="0" customWidth="1"/>
    <col min="3" max="3" width="9.00390625" style="0" customWidth="1"/>
    <col min="4" max="4" width="6.421875" style="0" customWidth="1"/>
    <col min="5" max="5" width="8.421875" style="0" customWidth="1"/>
    <col min="6" max="6" width="8.7109375" style="0" customWidth="1"/>
    <col min="7" max="7" width="9.28125" style="0" customWidth="1"/>
    <col min="8" max="8" width="9.421875" style="0" customWidth="1"/>
    <col min="9" max="9" width="6.140625" style="0" customWidth="1"/>
    <col min="10" max="10" width="8.7109375" style="0" customWidth="1"/>
  </cols>
  <sheetData>
    <row r="1" ht="20.25">
      <c r="A1" s="37" t="s">
        <v>71</v>
      </c>
    </row>
    <row r="3" spans="2:11" ht="12.75">
      <c r="B3" s="18" t="s">
        <v>72</v>
      </c>
      <c r="C3" s="19"/>
      <c r="D3" s="19"/>
      <c r="E3" s="74"/>
      <c r="J3" s="18" t="s">
        <v>95</v>
      </c>
      <c r="K3" s="74"/>
    </row>
    <row r="4" spans="2:11" ht="12.75">
      <c r="B4" s="5" t="s">
        <v>14</v>
      </c>
      <c r="C4" s="6"/>
      <c r="D4" s="5" t="s">
        <v>15</v>
      </c>
      <c r="E4" s="6"/>
      <c r="F4" s="62" t="s">
        <v>73</v>
      </c>
      <c r="G4" s="62" t="s">
        <v>74</v>
      </c>
      <c r="H4" s="5" t="s">
        <v>22</v>
      </c>
      <c r="I4" s="70" t="s">
        <v>92</v>
      </c>
      <c r="J4" s="70" t="s">
        <v>73</v>
      </c>
      <c r="K4" s="70" t="s">
        <v>96</v>
      </c>
    </row>
    <row r="5" spans="2:11" ht="12.75">
      <c r="B5" s="32" t="s">
        <v>9</v>
      </c>
      <c r="C5" s="34" t="s">
        <v>44</v>
      </c>
      <c r="D5" s="32" t="s">
        <v>9</v>
      </c>
      <c r="E5" s="34" t="s">
        <v>44</v>
      </c>
      <c r="F5" s="64" t="s">
        <v>23</v>
      </c>
      <c r="G5" s="64" t="s">
        <v>49</v>
      </c>
      <c r="H5" s="32" t="s">
        <v>23</v>
      </c>
      <c r="I5" s="71" t="s">
        <v>93</v>
      </c>
      <c r="J5" s="71" t="s">
        <v>94</v>
      </c>
      <c r="K5" s="64" t="s">
        <v>94</v>
      </c>
    </row>
    <row r="6" spans="1:11" ht="12.75">
      <c r="A6" s="42" t="s">
        <v>75</v>
      </c>
      <c r="B6" s="43">
        <v>47</v>
      </c>
      <c r="C6" s="65">
        <v>54.72</v>
      </c>
      <c r="D6" s="43">
        <v>12</v>
      </c>
      <c r="E6" s="65">
        <v>28.2</v>
      </c>
      <c r="F6" s="42"/>
      <c r="G6" s="42"/>
      <c r="H6" s="42"/>
      <c r="I6" s="69">
        <v>0</v>
      </c>
      <c r="J6" s="46"/>
      <c r="K6" s="72"/>
    </row>
    <row r="7" spans="1:11" ht="12.75">
      <c r="A7" s="42" t="s">
        <v>76</v>
      </c>
      <c r="B7" s="1"/>
      <c r="C7" s="65">
        <v>54.3594</v>
      </c>
      <c r="D7" s="1"/>
      <c r="E7" s="65">
        <v>27.4894</v>
      </c>
      <c r="F7" s="66">
        <f>IF(C7=0,0,SQRT(SUMSQ((C7-C6),((E7-E6)*COS(RADIANS(NB2))))))</f>
        <v>0.6040667943024274</v>
      </c>
      <c r="G7" s="56">
        <f>IF(F7=0,0,IF(DEGREES(ATAN2((C7-C6),((E7-E6)*COS(RADIANS(NB2)))))&lt;0,360+DEGREES(ATAN2((C7-C6),((E7-E6)*COS(RADIANS(NB2))))),DEGREES(ATAN2((C7-C6),((E7-E6)*COS(RADIANS(NB2)))))))</f>
        <v>233.34795649918826</v>
      </c>
      <c r="H7" s="67">
        <f>F7</f>
        <v>0.6040667943024274</v>
      </c>
      <c r="I7" s="43">
        <v>12</v>
      </c>
      <c r="J7" s="58">
        <f>IF(I7=0,0,F7/(I7-I6)*60)</f>
        <v>3.020333971512137</v>
      </c>
      <c r="K7" s="73">
        <f>IF(I7=0,0,H7/(I7-$I$6)*60)</f>
        <v>3.020333971512137</v>
      </c>
    </row>
    <row r="8" spans="1:11" ht="12.75">
      <c r="A8" s="42" t="s">
        <v>77</v>
      </c>
      <c r="B8" s="42"/>
      <c r="C8" s="65">
        <v>54.2344</v>
      </c>
      <c r="D8" s="1"/>
      <c r="E8" s="65">
        <v>27.8069</v>
      </c>
      <c r="F8" s="66">
        <f aca="true" t="shared" si="0" ref="F8:F19">IF(C8=0,0,SQRT(SUMSQ((C8-C7),((E8-E7)*COS(RADIANS(NB2))))))</f>
        <v>0.25002436028178404</v>
      </c>
      <c r="G8" s="56">
        <f aca="true" t="shared" si="1" ref="G8:G19">IF(F8=0,0,IF(DEGREES(ATAN2((C8-C7),((E8-E7)*COS(RADIANS(NB2)))))&lt;0,360+DEGREES(ATAN2((C8-C7),((E8-E7)*COS(RADIANS(NB2))))),DEGREES(ATAN2((C8-C7),((E8-E7)*COS(RADIANS(NB2)))))))</f>
        <v>119.99677703984825</v>
      </c>
      <c r="H8" s="68">
        <f>IF(F8=0,0,H7+F8)</f>
        <v>0.8540911545842114</v>
      </c>
      <c r="I8" s="43">
        <v>15</v>
      </c>
      <c r="J8" s="58">
        <f aca="true" t="shared" si="2" ref="J8:J19">IF(I8=0,0,F8/(I8-I7)*60)</f>
        <v>5.000487205635681</v>
      </c>
      <c r="K8" s="73">
        <f aca="true" t="shared" si="3" ref="K8:K19">IF(I8=0,0,H8/(I8-$I$6)*60)</f>
        <v>3.4163646183368455</v>
      </c>
    </row>
    <row r="9" spans="1:11" ht="12.75">
      <c r="A9" s="42" t="s">
        <v>78</v>
      </c>
      <c r="B9" s="42"/>
      <c r="C9" s="65">
        <v>54.5094</v>
      </c>
      <c r="D9" s="1"/>
      <c r="E9" s="65">
        <v>28.5053</v>
      </c>
      <c r="F9" s="66">
        <f t="shared" si="0"/>
        <v>0.5499945289682391</v>
      </c>
      <c r="G9" s="56">
        <f t="shared" si="1"/>
        <v>59.999670941138</v>
      </c>
      <c r="H9" s="68">
        <f aca="true" t="shared" si="4" ref="H9:H19">IF(F9=0,0,H8+F9)</f>
        <v>1.4040856835524504</v>
      </c>
      <c r="I9" s="43">
        <v>22</v>
      </c>
      <c r="J9" s="58">
        <f t="shared" si="2"/>
        <v>4.714238819727763</v>
      </c>
      <c r="K9" s="73">
        <f t="shared" si="3"/>
        <v>3.8293245915066834</v>
      </c>
    </row>
    <row r="10" spans="1:11" ht="12.75">
      <c r="A10" s="42" t="s">
        <v>79</v>
      </c>
      <c r="B10" s="42"/>
      <c r="C10" s="65">
        <v>54.2344</v>
      </c>
      <c r="D10" s="1"/>
      <c r="E10" s="65">
        <v>27.8069</v>
      </c>
      <c r="F10" s="66">
        <f t="shared" si="0"/>
        <v>0.5499945289682391</v>
      </c>
      <c r="G10" s="56">
        <f t="shared" si="1"/>
        <v>239.999670941138</v>
      </c>
      <c r="H10" s="68">
        <f t="shared" si="4"/>
        <v>1.9540802125206895</v>
      </c>
      <c r="I10" s="43">
        <v>35</v>
      </c>
      <c r="J10" s="58">
        <f t="shared" si="2"/>
        <v>2.5384362875457187</v>
      </c>
      <c r="K10" s="73">
        <f t="shared" si="3"/>
        <v>3.349851792892611</v>
      </c>
    </row>
    <row r="11" spans="1:11" ht="12.75">
      <c r="A11" s="42" t="s">
        <v>80</v>
      </c>
      <c r="B11" s="42"/>
      <c r="C11" s="65">
        <v>54.5094</v>
      </c>
      <c r="D11" s="1"/>
      <c r="E11" s="65">
        <v>28.5053</v>
      </c>
      <c r="F11" s="66">
        <f t="shared" si="0"/>
        <v>0.5499945289682391</v>
      </c>
      <c r="G11" s="56">
        <f t="shared" si="1"/>
        <v>59.999670941138</v>
      </c>
      <c r="H11" s="68">
        <f t="shared" si="4"/>
        <v>2.5040747414889286</v>
      </c>
      <c r="I11" s="43">
        <v>45</v>
      </c>
      <c r="J11" s="58">
        <f t="shared" si="2"/>
        <v>3.2999671738094345</v>
      </c>
      <c r="K11" s="73">
        <f t="shared" si="3"/>
        <v>3.338766321985238</v>
      </c>
    </row>
    <row r="12" spans="1:11" ht="12.75">
      <c r="A12" s="42" t="s">
        <v>81</v>
      </c>
      <c r="B12" s="42"/>
      <c r="C12" s="65">
        <v>54.7594</v>
      </c>
      <c r="D12" s="1"/>
      <c r="E12" s="65">
        <v>28.5053</v>
      </c>
      <c r="F12" s="66">
        <f t="shared" si="0"/>
        <v>0.25</v>
      </c>
      <c r="G12" s="56">
        <f t="shared" si="1"/>
        <v>0</v>
      </c>
      <c r="H12" s="68">
        <f t="shared" si="4"/>
        <v>2.7540747414889286</v>
      </c>
      <c r="I12" s="43">
        <v>48</v>
      </c>
      <c r="J12" s="58">
        <f t="shared" si="2"/>
        <v>5</v>
      </c>
      <c r="K12" s="73">
        <f t="shared" si="3"/>
        <v>3.442593426861161</v>
      </c>
    </row>
    <row r="13" spans="1:11" ht="12.75">
      <c r="A13" s="42" t="s">
        <v>82</v>
      </c>
      <c r="B13" s="42"/>
      <c r="C13" s="65">
        <v>54.6994</v>
      </c>
      <c r="D13" s="1"/>
      <c r="E13" s="65">
        <v>28.3529</v>
      </c>
      <c r="F13" s="66">
        <f t="shared" si="0"/>
        <v>0.12001169293525571</v>
      </c>
      <c r="G13" s="56">
        <f t="shared" si="1"/>
        <v>240.0032229601503</v>
      </c>
      <c r="H13" s="68">
        <f t="shared" si="4"/>
        <v>2.8740864344241843</v>
      </c>
      <c r="I13" s="43">
        <v>50</v>
      </c>
      <c r="J13" s="58">
        <f t="shared" si="2"/>
        <v>3.6003507880576713</v>
      </c>
      <c r="K13" s="73">
        <f t="shared" si="3"/>
        <v>3.4489037213090215</v>
      </c>
    </row>
    <row r="14" spans="1:11" ht="12.75">
      <c r="A14" s="42" t="s">
        <v>83</v>
      </c>
      <c r="B14" s="42"/>
      <c r="C14" s="65"/>
      <c r="D14" s="1"/>
      <c r="E14" s="65"/>
      <c r="F14" s="66">
        <f t="shared" si="0"/>
        <v>0</v>
      </c>
      <c r="G14" s="56">
        <f t="shared" si="1"/>
        <v>0</v>
      </c>
      <c r="H14" s="68">
        <f t="shared" si="4"/>
        <v>0</v>
      </c>
      <c r="I14" s="43"/>
      <c r="J14" s="58">
        <f t="shared" si="2"/>
        <v>0</v>
      </c>
      <c r="K14" s="73">
        <f t="shared" si="3"/>
        <v>0</v>
      </c>
    </row>
    <row r="15" spans="1:11" ht="12.75">
      <c r="A15" s="42" t="s">
        <v>84</v>
      </c>
      <c r="B15" s="42"/>
      <c r="C15" s="65"/>
      <c r="D15" s="1"/>
      <c r="E15" s="65"/>
      <c r="F15" s="66">
        <f t="shared" si="0"/>
        <v>0</v>
      </c>
      <c r="G15" s="56">
        <f t="shared" si="1"/>
        <v>0</v>
      </c>
      <c r="H15" s="68">
        <f t="shared" si="4"/>
        <v>0</v>
      </c>
      <c r="I15" s="43"/>
      <c r="J15" s="58">
        <f t="shared" si="2"/>
        <v>0</v>
      </c>
      <c r="K15" s="73">
        <f t="shared" si="3"/>
        <v>0</v>
      </c>
    </row>
    <row r="16" spans="1:11" ht="12.75">
      <c r="A16" s="42" t="s">
        <v>85</v>
      </c>
      <c r="B16" s="42"/>
      <c r="C16" s="65"/>
      <c r="D16" s="1"/>
      <c r="E16" s="65"/>
      <c r="F16" s="66">
        <f t="shared" si="0"/>
        <v>0</v>
      </c>
      <c r="G16" s="56">
        <f t="shared" si="1"/>
        <v>0</v>
      </c>
      <c r="H16" s="68">
        <f t="shared" si="4"/>
        <v>0</v>
      </c>
      <c r="I16" s="43"/>
      <c r="J16" s="58">
        <f t="shared" si="2"/>
        <v>0</v>
      </c>
      <c r="K16" s="73">
        <f t="shared" si="3"/>
        <v>0</v>
      </c>
    </row>
    <row r="17" spans="1:11" ht="12.75">
      <c r="A17" s="42" t="s">
        <v>86</v>
      </c>
      <c r="B17" s="42"/>
      <c r="C17" s="65"/>
      <c r="D17" s="1"/>
      <c r="E17" s="65"/>
      <c r="F17" s="66">
        <f t="shared" si="0"/>
        <v>0</v>
      </c>
      <c r="G17" s="56">
        <f t="shared" si="1"/>
        <v>0</v>
      </c>
      <c r="H17" s="68">
        <f t="shared" si="4"/>
        <v>0</v>
      </c>
      <c r="I17" s="43"/>
      <c r="J17" s="58">
        <f t="shared" si="2"/>
        <v>0</v>
      </c>
      <c r="K17" s="73">
        <f t="shared" si="3"/>
        <v>0</v>
      </c>
    </row>
    <row r="18" spans="1:11" ht="12.75">
      <c r="A18" s="42" t="s">
        <v>87</v>
      </c>
      <c r="B18" s="42"/>
      <c r="C18" s="65"/>
      <c r="D18" s="1"/>
      <c r="E18" s="65"/>
      <c r="F18" s="66">
        <f t="shared" si="0"/>
        <v>0</v>
      </c>
      <c r="G18" s="56">
        <f t="shared" si="1"/>
        <v>0</v>
      </c>
      <c r="H18" s="68">
        <f t="shared" si="4"/>
        <v>0</v>
      </c>
      <c r="I18" s="43"/>
      <c r="J18" s="58">
        <f t="shared" si="2"/>
        <v>0</v>
      </c>
      <c r="K18" s="73">
        <f t="shared" si="3"/>
        <v>0</v>
      </c>
    </row>
    <row r="19" spans="1:11" ht="12.75">
      <c r="A19" s="42" t="s">
        <v>88</v>
      </c>
      <c r="B19" s="42"/>
      <c r="C19" s="65"/>
      <c r="D19" s="1"/>
      <c r="E19" s="65"/>
      <c r="F19" s="66">
        <f t="shared" si="0"/>
        <v>0</v>
      </c>
      <c r="G19" s="56">
        <f t="shared" si="1"/>
        <v>0</v>
      </c>
      <c r="H19" s="68">
        <f t="shared" si="4"/>
        <v>0</v>
      </c>
      <c r="I19" s="43"/>
      <c r="J19" s="58">
        <f t="shared" si="2"/>
        <v>0</v>
      </c>
      <c r="K19" s="73">
        <f t="shared" si="3"/>
        <v>0</v>
      </c>
    </row>
    <row r="21" ht="12.75">
      <c r="A21" t="s">
        <v>90</v>
      </c>
    </row>
    <row r="22" ht="12.75">
      <c r="A22" t="s">
        <v>91</v>
      </c>
    </row>
    <row r="23" ht="12.75">
      <c r="A23" t="s">
        <v>97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Finckh</dc:creator>
  <cp:keywords/>
  <dc:description/>
  <cp:lastModifiedBy>Ulrich Finckh</cp:lastModifiedBy>
  <dcterms:created xsi:type="dcterms:W3CDTF">2007-11-14T09:10:17Z</dcterms:created>
  <dcterms:modified xsi:type="dcterms:W3CDTF">2007-11-14T14:41:35Z</dcterms:modified>
  <cp:category/>
  <cp:version/>
  <cp:contentType/>
  <cp:contentStatus/>
</cp:coreProperties>
</file>